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10\Desktop\新建文件夹\"/>
    </mc:Choice>
  </mc:AlternateContent>
  <bookViews>
    <workbookView xWindow="-105" yWindow="-105" windowWidth="23250" windowHeight="12450"/>
  </bookViews>
  <sheets>
    <sheet name="项目费用总分配表" sheetId="1" r:id="rId1"/>
    <sheet name="人员工资" sheetId="2" r:id="rId2"/>
    <sheet name="五险一金测算表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3" l="1"/>
  <c r="P6" i="3" l="1"/>
  <c r="P7" i="3"/>
  <c r="P8" i="3"/>
  <c r="P9" i="3"/>
  <c r="P10" i="3"/>
  <c r="P11" i="3"/>
  <c r="P12" i="3"/>
  <c r="P5" i="3"/>
  <c r="K6" i="3"/>
  <c r="K7" i="3"/>
  <c r="K8" i="3"/>
  <c r="K9" i="3"/>
  <c r="K10" i="3"/>
  <c r="K11" i="3"/>
  <c r="K12" i="3"/>
  <c r="K5" i="3"/>
  <c r="I6" i="3"/>
  <c r="I7" i="3"/>
  <c r="I8" i="3"/>
  <c r="I9" i="3"/>
  <c r="I10" i="3"/>
  <c r="I11" i="3"/>
  <c r="I12" i="3"/>
  <c r="I5" i="3"/>
  <c r="F6" i="3"/>
  <c r="F7" i="3"/>
  <c r="F8" i="3"/>
  <c r="F9" i="3"/>
  <c r="F10" i="3"/>
  <c r="F11" i="3"/>
  <c r="F12" i="3"/>
  <c r="F5" i="3"/>
  <c r="K5" i="2"/>
  <c r="K6" i="2"/>
  <c r="K7" i="2"/>
  <c r="K8" i="2"/>
  <c r="K9" i="2"/>
  <c r="K10" i="2"/>
  <c r="K11" i="2"/>
  <c r="K4" i="2"/>
  <c r="F12" i="2" l="1"/>
  <c r="O8" i="2"/>
  <c r="Q8" i="2"/>
  <c r="R8" i="2" s="1"/>
  <c r="Q9" i="3"/>
  <c r="R9" i="3" s="1"/>
  <c r="L9" i="3"/>
  <c r="M9" i="3"/>
  <c r="J9" i="3"/>
  <c r="G9" i="3"/>
  <c r="H9" i="3"/>
  <c r="E9" i="3"/>
  <c r="D9" i="3"/>
  <c r="L8" i="2"/>
  <c r="M8" i="2"/>
  <c r="O9" i="3" l="1"/>
  <c r="W9" i="3" s="1"/>
  <c r="X9" i="3" s="1"/>
  <c r="N9" i="3"/>
  <c r="T9" i="3"/>
  <c r="U9" i="3" s="1"/>
  <c r="C12" i="2"/>
  <c r="V9" i="3" l="1"/>
  <c r="A5" i="1"/>
  <c r="A6" i="1"/>
  <c r="A7" i="1"/>
  <c r="A9" i="1"/>
  <c r="A10" i="1"/>
  <c r="A11" i="1"/>
  <c r="A12" i="1"/>
  <c r="A13" i="1"/>
  <c r="A14" i="1"/>
  <c r="A16" i="1"/>
  <c r="A17" i="1"/>
  <c r="A18" i="1"/>
  <c r="A20" i="1"/>
  <c r="A21" i="1"/>
  <c r="A4" i="1" l="1"/>
  <c r="L5" i="2" l="1"/>
  <c r="L6" i="2"/>
  <c r="L7" i="2"/>
  <c r="L9" i="2"/>
  <c r="L10" i="2"/>
  <c r="L11" i="2"/>
  <c r="L4" i="2"/>
  <c r="M4" i="2" l="1"/>
  <c r="M5" i="2"/>
  <c r="M6" i="2"/>
  <c r="M7" i="2"/>
  <c r="M9" i="2"/>
  <c r="M10" i="2"/>
  <c r="M11" i="2"/>
  <c r="M12" i="2" l="1"/>
  <c r="S13" i="3"/>
  <c r="Q12" i="3"/>
  <c r="R12" i="3" s="1"/>
  <c r="M12" i="3"/>
  <c r="L12" i="3"/>
  <c r="J12" i="3"/>
  <c r="H12" i="3"/>
  <c r="G12" i="3"/>
  <c r="E12" i="3"/>
  <c r="D12" i="3"/>
  <c r="Q11" i="3"/>
  <c r="R11" i="3" s="1"/>
  <c r="M11" i="3"/>
  <c r="L11" i="3"/>
  <c r="J11" i="3"/>
  <c r="H11" i="3"/>
  <c r="G11" i="3"/>
  <c r="D11" i="3"/>
  <c r="Q10" i="3"/>
  <c r="R10" i="3" s="1"/>
  <c r="M10" i="3"/>
  <c r="L10" i="3"/>
  <c r="J10" i="3"/>
  <c r="H10" i="3"/>
  <c r="G10" i="3"/>
  <c r="E10" i="3"/>
  <c r="D10" i="3"/>
  <c r="Q8" i="3"/>
  <c r="R8" i="3" s="1"/>
  <c r="M8" i="3"/>
  <c r="L8" i="3"/>
  <c r="J8" i="3"/>
  <c r="H8" i="3"/>
  <c r="G8" i="3"/>
  <c r="E8" i="3"/>
  <c r="D8" i="3"/>
  <c r="Q7" i="3"/>
  <c r="R7" i="3" s="1"/>
  <c r="M7" i="3"/>
  <c r="L7" i="3"/>
  <c r="J7" i="3"/>
  <c r="H7" i="3"/>
  <c r="G7" i="3"/>
  <c r="E7" i="3"/>
  <c r="D7" i="3"/>
  <c r="Q6" i="3"/>
  <c r="R6" i="3" s="1"/>
  <c r="M6" i="3"/>
  <c r="L6" i="3"/>
  <c r="J6" i="3"/>
  <c r="H6" i="3"/>
  <c r="G6" i="3"/>
  <c r="E6" i="3"/>
  <c r="D6" i="3"/>
  <c r="Q5" i="3"/>
  <c r="M5" i="3"/>
  <c r="L5" i="3"/>
  <c r="J5" i="3"/>
  <c r="H5" i="3"/>
  <c r="E5" i="3"/>
  <c r="D5" i="3"/>
  <c r="O11" i="2"/>
  <c r="O10" i="2"/>
  <c r="O9" i="2"/>
  <c r="O7" i="2"/>
  <c r="O6" i="2"/>
  <c r="O5" i="2"/>
  <c r="F14" i="1"/>
  <c r="F13" i="1"/>
  <c r="N5" i="3" l="1"/>
  <c r="O11" i="3"/>
  <c r="W11" i="3" s="1"/>
  <c r="O6" i="3"/>
  <c r="W6" i="3" s="1"/>
  <c r="O12" i="3"/>
  <c r="W12" i="3" s="1"/>
  <c r="T10" i="3"/>
  <c r="U10" i="3" s="1"/>
  <c r="G13" i="3"/>
  <c r="Q13" i="3"/>
  <c r="N10" i="3"/>
  <c r="T5" i="3"/>
  <c r="U5" i="3" s="1"/>
  <c r="O7" i="3"/>
  <c r="W7" i="3" s="1"/>
  <c r="T12" i="3"/>
  <c r="U12" i="3" s="1"/>
  <c r="T6" i="3"/>
  <c r="U6" i="3" s="1"/>
  <c r="M13" i="3"/>
  <c r="T11" i="3"/>
  <c r="U11" i="3" s="1"/>
  <c r="D13" i="3"/>
  <c r="O5" i="3"/>
  <c r="T7" i="3"/>
  <c r="U7" i="3" s="1"/>
  <c r="O10" i="3"/>
  <c r="W10" i="3" s="1"/>
  <c r="H13" i="3"/>
  <c r="J13" i="3"/>
  <c r="T8" i="3"/>
  <c r="U8" i="3" s="1"/>
  <c r="L13" i="3"/>
  <c r="N7" i="3"/>
  <c r="O8" i="3"/>
  <c r="W8" i="3" s="1"/>
  <c r="N12" i="3"/>
  <c r="R5" i="3"/>
  <c r="R13" i="3" s="1"/>
  <c r="N6" i="3"/>
  <c r="N11" i="3"/>
  <c r="E13" i="3"/>
  <c r="O4" i="2"/>
  <c r="O12" i="2" s="1"/>
  <c r="N8" i="3"/>
  <c r="X10" i="3" l="1"/>
  <c r="V10" i="3"/>
  <c r="X7" i="3"/>
  <c r="V7" i="3"/>
  <c r="X11" i="3"/>
  <c r="V11" i="3"/>
  <c r="X8" i="3"/>
  <c r="V8" i="3"/>
  <c r="X12" i="3"/>
  <c r="V12" i="3"/>
  <c r="X6" i="3"/>
  <c r="V6" i="3"/>
  <c r="U13" i="3"/>
  <c r="W5" i="3"/>
  <c r="O13" i="3"/>
  <c r="N13" i="3"/>
  <c r="T13" i="3"/>
  <c r="X5" i="3" l="1"/>
  <c r="X13" i="3" s="1"/>
  <c r="W13" i="3"/>
  <c r="V5" i="3"/>
  <c r="V13" i="3" s="1"/>
  <c r="Q5" i="2"/>
  <c r="R5" i="2" s="1"/>
  <c r="Q7" i="2"/>
  <c r="R7" i="2" s="1"/>
  <c r="Q11" i="2"/>
  <c r="R11" i="2" s="1"/>
  <c r="Q4" i="2"/>
  <c r="R4" i="2" s="1"/>
  <c r="Q10" i="2"/>
  <c r="R10" i="2" s="1"/>
  <c r="Q6" i="2"/>
  <c r="R6" i="2" s="1"/>
  <c r="Q9" i="2"/>
  <c r="R9" i="2" s="1"/>
  <c r="F21" i="1" l="1"/>
  <c r="E11" i="1"/>
  <c r="E9" i="1"/>
  <c r="E7" i="1"/>
  <c r="E8" i="1"/>
  <c r="E5" i="1"/>
  <c r="E4" i="1"/>
  <c r="E6" i="1"/>
  <c r="E10" i="1"/>
</calcChain>
</file>

<file path=xl/sharedStrings.xml><?xml version="1.0" encoding="utf-8"?>
<sst xmlns="http://schemas.openxmlformats.org/spreadsheetml/2006/main" count="109" uniqueCount="93">
  <si>
    <t>序号</t>
  </si>
  <si>
    <t>项目名称</t>
  </si>
  <si>
    <t>数量(人)</t>
  </si>
  <si>
    <t>单价（元/年）</t>
  </si>
  <si>
    <t>总价（年）
（含五险一金）</t>
  </si>
  <si>
    <t>备注</t>
  </si>
  <si>
    <t>组长</t>
  </si>
  <si>
    <t>工资要明晰基本工资、绩效工资，并结合每月工作考核，工资银行回执</t>
  </si>
  <si>
    <t>副组长</t>
  </si>
  <si>
    <t>保育员</t>
  </si>
  <si>
    <t>500元/月/人</t>
  </si>
  <si>
    <t>节日慰问</t>
  </si>
  <si>
    <t>春节300、端午200、中秋200</t>
  </si>
  <si>
    <t>体检费</t>
  </si>
  <si>
    <t>每年一次，按入职登记---健康证</t>
  </si>
  <si>
    <t>一次性费用</t>
  </si>
  <si>
    <t>利润</t>
  </si>
  <si>
    <t>中标公司考核</t>
  </si>
  <si>
    <t>总计</t>
  </si>
  <si>
    <t>岗位名称</t>
  </si>
  <si>
    <t>人员数量</t>
  </si>
  <si>
    <t>每人/月</t>
  </si>
  <si>
    <t>一年合计</t>
  </si>
  <si>
    <t>五险一金(公司)</t>
  </si>
  <si>
    <t>实际成本（合计）</t>
  </si>
  <si>
    <t>五险一金（个人）</t>
  </si>
  <si>
    <t>实际到手</t>
  </si>
  <si>
    <t>合计</t>
  </si>
  <si>
    <t>养老</t>
  </si>
  <si>
    <t>失业</t>
  </si>
  <si>
    <t>工伤</t>
  </si>
  <si>
    <t>基本医疗及生育</t>
  </si>
  <si>
    <t>五险小计</t>
  </si>
  <si>
    <t>住房公积金</t>
  </si>
  <si>
    <t>岗位数</t>
  </si>
  <si>
    <t>标准</t>
  </si>
  <si>
    <t>公司14%</t>
  </si>
  <si>
    <t>个人8%</t>
  </si>
  <si>
    <t>公司0.8%</t>
  </si>
  <si>
    <t>个人0.2%</t>
  </si>
  <si>
    <t>公司3.1%</t>
  </si>
  <si>
    <t>个人0.7%</t>
  </si>
  <si>
    <t>公司</t>
  </si>
  <si>
    <t>个人</t>
  </si>
  <si>
    <t>公司5%</t>
  </si>
  <si>
    <t>个人5%</t>
  </si>
  <si>
    <t>社保及公积金费用</t>
    <phoneticPr fontId="10" type="noConversion"/>
  </si>
  <si>
    <t>服务之星</t>
    <phoneticPr fontId="10" type="noConversion"/>
  </si>
  <si>
    <t>岗位</t>
    <phoneticPr fontId="10" type="noConversion"/>
  </si>
  <si>
    <t>3000元/月</t>
    <phoneticPr fontId="10" type="noConversion"/>
  </si>
  <si>
    <t>基本工资</t>
    <phoneticPr fontId="10" type="noConversion"/>
  </si>
  <si>
    <t>岗位津贴</t>
    <phoneticPr fontId="10" type="noConversion"/>
  </si>
  <si>
    <t>服务之星</t>
    <phoneticPr fontId="10" type="noConversion"/>
  </si>
  <si>
    <t>节日慰问金</t>
    <phoneticPr fontId="10" type="noConversion"/>
  </si>
  <si>
    <t>扣减绩效</t>
    <phoneticPr fontId="10" type="noConversion"/>
  </si>
  <si>
    <t>税前工资合计</t>
    <phoneticPr fontId="10" type="noConversion"/>
  </si>
  <si>
    <t>中山市残疾儿童教养学校康教实践项目人员五险一金成本一览表</t>
    <phoneticPr fontId="10" type="noConversion"/>
  </si>
  <si>
    <t>（个人）
每月合计</t>
    <phoneticPr fontId="10" type="noConversion"/>
  </si>
  <si>
    <t>（个人）
每年合计</t>
    <phoneticPr fontId="10" type="noConversion"/>
  </si>
  <si>
    <t>（公司）
每月合计</t>
    <phoneticPr fontId="10" type="noConversion"/>
  </si>
  <si>
    <t>（公司）
每年合计</t>
    <phoneticPr fontId="10" type="noConversion"/>
  </si>
  <si>
    <t>在利润中列支3000元/月（36000元一年）的考核费，每月进行考核发放。</t>
    <phoneticPr fontId="10" type="noConversion"/>
  </si>
  <si>
    <t>中山市残疾儿童教养学校康教实践项目人员工资表</t>
    <phoneticPr fontId="10" type="noConversion"/>
  </si>
  <si>
    <t>年薪</t>
    <phoneticPr fontId="10" type="noConversion"/>
  </si>
  <si>
    <t>每月评出4名每月之星，500元/人</t>
    <phoneticPr fontId="10" type="noConversion"/>
  </si>
  <si>
    <t>项目基本运行费</t>
    <phoneticPr fontId="10" type="noConversion"/>
  </si>
  <si>
    <t>项目税金</t>
    <phoneticPr fontId="10" type="noConversion"/>
  </si>
  <si>
    <t>参考2023年，按总费用的3%测算</t>
    <phoneticPr fontId="10" type="noConversion"/>
  </si>
  <si>
    <t>班主任</t>
    <phoneticPr fontId="10" type="noConversion"/>
  </si>
  <si>
    <t>班主任</t>
    <phoneticPr fontId="10" type="noConversion"/>
  </si>
  <si>
    <t>中级岗位</t>
    <phoneticPr fontId="10" type="noConversion"/>
  </si>
  <si>
    <t>初级岗位</t>
    <phoneticPr fontId="10" type="noConversion"/>
  </si>
  <si>
    <t>中级岗位</t>
    <phoneticPr fontId="10" type="noConversion"/>
  </si>
  <si>
    <t>初级岗位</t>
    <phoneticPr fontId="10" type="noConversion"/>
  </si>
  <si>
    <t>开展学生娱疗费用</t>
    <phoneticPr fontId="10" type="noConversion"/>
  </si>
  <si>
    <t>中山市残疾儿童教养学校康教实践项目资金分配表(42人)</t>
    <phoneticPr fontId="10" type="noConversion"/>
  </si>
  <si>
    <t>班主任</t>
    <phoneticPr fontId="10" type="noConversion"/>
  </si>
  <si>
    <t>初级岗位</t>
    <phoneticPr fontId="10" type="noConversion"/>
  </si>
  <si>
    <t>中级岗位</t>
    <phoneticPr fontId="10" type="noConversion"/>
  </si>
  <si>
    <t>组织开展学生娱疗活动相关的一切开支</t>
    <phoneticPr fontId="10" type="noConversion"/>
  </si>
  <si>
    <t>个人
每月</t>
    <phoneticPr fontId="10" type="noConversion"/>
  </si>
  <si>
    <t>附件2</t>
    <phoneticPr fontId="10" type="noConversion"/>
  </si>
  <si>
    <r>
      <t>5</t>
    </r>
    <r>
      <rPr>
        <sz val="11"/>
        <color theme="1"/>
        <rFont val="方正仿宋简体(数字修改)"/>
        <family val="3"/>
        <charset val="134"/>
      </rPr>
      <t>0元/人</t>
    </r>
    <phoneticPr fontId="10" type="noConversion"/>
  </si>
  <si>
    <t>发放蛋糕券或现金</t>
    <phoneticPr fontId="10" type="noConversion"/>
  </si>
  <si>
    <t>包含项目人员团建费用、中标服务费、残保金、季度考核及运营费等</t>
    <phoneticPr fontId="10" type="noConversion"/>
  </si>
  <si>
    <t>按月支付</t>
    <phoneticPr fontId="10" type="noConversion"/>
  </si>
  <si>
    <t>绩效</t>
    <phoneticPr fontId="10" type="noConversion"/>
  </si>
  <si>
    <t>全勤</t>
    <phoneticPr fontId="10" type="noConversion"/>
  </si>
  <si>
    <t>项目人员的办公费（含家访、办公耗材、饮水、纸巾等）、活动费、差旅费等</t>
    <phoneticPr fontId="10" type="noConversion"/>
  </si>
  <si>
    <t>个训岗教师</t>
    <phoneticPr fontId="10" type="noConversion"/>
  </si>
  <si>
    <t>康复教师</t>
    <phoneticPr fontId="10" type="noConversion"/>
  </si>
  <si>
    <t>康复教师</t>
    <phoneticPr fontId="10" type="noConversion"/>
  </si>
  <si>
    <t>保育员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</si>
</sst>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3" x14ac:knownFonts="1">
    <font>
      <sz val="11"/>
      <color theme="1"/>
      <name val="等线"/>
      <charset val="134"/>
      <scheme val="minor"/>
    </font>
    <font>
      <sz val="12"/>
      <color theme="1"/>
      <name val="等线"/>
      <family val="3"/>
      <charset val="134"/>
      <scheme val="minor"/>
    </font>
    <font>
      <sz val="24"/>
      <color theme="1"/>
      <name val="方正大标宋简体"/>
      <family val="3"/>
      <charset val="134"/>
    </font>
    <font>
      <sz val="11"/>
      <name val="方正仿宋简体(数字修改)"/>
      <family val="3"/>
      <charset val="134"/>
    </font>
    <font>
      <sz val="11"/>
      <name val="黑体"/>
      <family val="3"/>
      <charset val="134"/>
    </font>
    <font>
      <sz val="11"/>
      <color theme="1"/>
      <name val="方正仿宋简体(数字修改)"/>
      <family val="3"/>
      <charset val="134"/>
    </font>
    <font>
      <sz val="11"/>
      <color theme="1"/>
      <name val="黑体"/>
      <family val="3"/>
      <charset val="134"/>
    </font>
    <font>
      <sz val="11"/>
      <color rgb="FF9C0006"/>
      <name val="等线"/>
      <family val="3"/>
      <charset val="134"/>
      <scheme val="minor"/>
    </font>
    <font>
      <sz val="11"/>
      <color rgb="FF006100"/>
      <name val="等线"/>
      <family val="3"/>
      <charset val="134"/>
      <scheme val="minor"/>
    </font>
    <font>
      <sz val="11"/>
      <color rgb="FF9C650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name val="黑体"/>
      <family val="3"/>
      <charset val="134"/>
    </font>
    <font>
      <sz val="11"/>
      <name val="方正仿宋简体(数字修改)"/>
      <family val="3"/>
      <charset val="134"/>
    </font>
    <font>
      <sz val="20"/>
      <color theme="1"/>
      <name val="方正小标宋简体"/>
      <family val="4"/>
      <charset val="134"/>
    </font>
    <font>
      <sz val="20"/>
      <color theme="1"/>
      <name val="方正小标宋简体"/>
      <family val="3"/>
      <charset val="134"/>
    </font>
    <font>
      <sz val="11"/>
      <color theme="1"/>
      <name val="方正大标宋简体"/>
      <family val="3"/>
      <charset val="134"/>
    </font>
    <font>
      <sz val="11"/>
      <color rgb="FFFF0000"/>
      <name val="黑体"/>
      <family val="3"/>
      <charset val="134"/>
    </font>
    <font>
      <sz val="11"/>
      <color theme="1"/>
      <name val="方正仿宋简体(数字修改)"/>
      <family val="3"/>
      <charset val="134"/>
    </font>
    <font>
      <sz val="14"/>
      <color theme="1"/>
      <name val="方正仿宋简体(数字修改)"/>
      <family val="3"/>
      <charset val="134"/>
    </font>
    <font>
      <b/>
      <sz val="24"/>
      <color theme="1"/>
      <name val="黑体"/>
      <family val="3"/>
      <charset val="134"/>
    </font>
    <font>
      <sz val="11"/>
      <color rgb="FFFF0000"/>
      <name val="方正仿宋简体(数字修改)"/>
      <family val="3"/>
      <charset val="134"/>
    </font>
    <font>
      <sz val="26"/>
      <color theme="1"/>
      <name val="方正大标宋简体"/>
      <family val="3"/>
      <charset val="134"/>
    </font>
    <font>
      <sz val="16"/>
      <color theme="1"/>
      <name val="方正仿宋简体(数字修改)"/>
      <family val="3"/>
      <charset val="134"/>
    </font>
  </fonts>
  <fills count="11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>
      <alignment vertical="center"/>
    </xf>
    <xf numFmtId="0" fontId="2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0" fillId="0" borderId="0" xfId="0" applyFont="1">
      <alignment vertical="center"/>
    </xf>
    <xf numFmtId="0" fontId="16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left" vertical="center"/>
    </xf>
    <xf numFmtId="0" fontId="18" fillId="0" borderId="0" xfId="0" applyFont="1">
      <alignment vertical="center"/>
    </xf>
    <xf numFmtId="176" fontId="12" fillId="5" borderId="2" xfId="1" applyNumberFormat="1" applyFont="1" applyBorder="1" applyAlignment="1">
      <alignment horizontal="center" vertical="center"/>
    </xf>
    <xf numFmtId="176" fontId="12" fillId="3" borderId="2" xfId="3" applyNumberFormat="1" applyFont="1" applyFill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176" fontId="17" fillId="3" borderId="2" xfId="0" applyNumberFormat="1" applyFont="1" applyFill="1" applyBorder="1" applyAlignment="1">
      <alignment horizontal="center" vertical="center"/>
    </xf>
    <xf numFmtId="176" fontId="17" fillId="3" borderId="2" xfId="0" applyNumberFormat="1" applyFont="1" applyFill="1" applyBorder="1" applyAlignment="1">
      <alignment horizontal="left" vertical="center"/>
    </xf>
    <xf numFmtId="176" fontId="12" fillId="9" borderId="2" xfId="3" applyNumberFormat="1" applyFont="1" applyFill="1" applyBorder="1" applyAlignment="1">
      <alignment horizontal="center" vertical="center"/>
    </xf>
    <xf numFmtId="176" fontId="20" fillId="8" borderId="2" xfId="3" applyNumberFormat="1" applyFont="1" applyFill="1" applyBorder="1" applyAlignment="1">
      <alignment horizontal="center" vertical="center"/>
    </xf>
    <xf numFmtId="176" fontId="20" fillId="2" borderId="2" xfId="3" applyNumberFormat="1" applyFont="1" applyBorder="1" applyAlignment="1">
      <alignment horizontal="center" vertical="center"/>
    </xf>
    <xf numFmtId="176" fontId="20" fillId="4" borderId="4" xfId="3" applyNumberFormat="1" applyFont="1" applyFill="1" applyBorder="1" applyAlignment="1">
      <alignment horizontal="center" vertical="center"/>
    </xf>
    <xf numFmtId="176" fontId="12" fillId="4" borderId="4" xfId="3" applyNumberFormat="1" applyFont="1" applyFill="1" applyBorder="1" applyAlignment="1">
      <alignment horizontal="center" vertical="center"/>
    </xf>
    <xf numFmtId="176" fontId="12" fillId="2" borderId="2" xfId="3" applyNumberFormat="1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12" fillId="0" borderId="2" xfId="0" applyNumberFormat="1" applyFont="1" applyBorder="1" applyAlignment="1">
      <alignment horizontal="center" vertical="center"/>
    </xf>
    <xf numFmtId="0" fontId="12" fillId="3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12" fillId="3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176" fontId="0" fillId="0" borderId="0" xfId="0" applyNumberFormat="1" applyFont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</cellXfs>
  <cellStyles count="4">
    <cellStyle name="差" xfId="1" builtinId="27"/>
    <cellStyle name="常规" xfId="0" builtinId="0"/>
    <cellStyle name="好" xfId="2" builtinId="26"/>
    <cellStyle name="适中" xfId="3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13" workbookViewId="0">
      <selection activeCell="J10" sqref="J10"/>
    </sheetView>
  </sheetViews>
  <sheetFormatPr defaultColWidth="9" defaultRowHeight="14.25" x14ac:dyDescent="0.2"/>
  <cols>
    <col min="2" max="2" width="9.5" customWidth="1"/>
    <col min="3" max="3" width="16.125" customWidth="1"/>
    <col min="4" max="4" width="13.125" customWidth="1"/>
    <col min="5" max="5" width="16.625" customWidth="1"/>
    <col min="6" max="6" width="19" style="2" customWidth="1"/>
    <col min="7" max="7" width="44" customWidth="1"/>
  </cols>
  <sheetData>
    <row r="1" spans="1:8" ht="18.75" x14ac:dyDescent="0.2">
      <c r="A1" s="25" t="s">
        <v>81</v>
      </c>
    </row>
    <row r="2" spans="1:8" ht="40.5" customHeight="1" x14ac:dyDescent="0.2">
      <c r="A2" s="78" t="s">
        <v>75</v>
      </c>
      <c r="B2" s="79"/>
      <c r="C2" s="79"/>
      <c r="D2" s="79"/>
      <c r="E2" s="79"/>
      <c r="F2" s="79"/>
      <c r="G2" s="79"/>
    </row>
    <row r="3" spans="1:8" ht="34.5" customHeight="1" x14ac:dyDescent="0.2">
      <c r="A3" s="50" t="s">
        <v>0</v>
      </c>
      <c r="B3" s="80" t="s">
        <v>1</v>
      </c>
      <c r="C3" s="80"/>
      <c r="D3" s="50" t="s">
        <v>2</v>
      </c>
      <c r="E3" s="50" t="s">
        <v>3</v>
      </c>
      <c r="F3" s="5" t="s">
        <v>4</v>
      </c>
      <c r="G3" s="50" t="s">
        <v>5</v>
      </c>
    </row>
    <row r="4" spans="1:8" ht="24.95" customHeight="1" x14ac:dyDescent="0.2">
      <c r="A4" s="16">
        <f>ROW()-3</f>
        <v>1</v>
      </c>
      <c r="B4" s="68" t="s">
        <v>6</v>
      </c>
      <c r="C4" s="68"/>
      <c r="D4" s="57">
        <v>4</v>
      </c>
      <c r="E4" s="49">
        <f>SUM(F4/D4)</f>
        <v>109845.5</v>
      </c>
      <c r="F4" s="39">
        <v>439382</v>
      </c>
      <c r="G4" s="62" t="s">
        <v>7</v>
      </c>
    </row>
    <row r="5" spans="1:8" ht="24.95" customHeight="1" x14ac:dyDescent="0.2">
      <c r="A5" s="16">
        <f t="shared" ref="A5:A21" si="0">ROW()-3</f>
        <v>2</v>
      </c>
      <c r="B5" s="68" t="s">
        <v>8</v>
      </c>
      <c r="C5" s="68"/>
      <c r="D5" s="57">
        <v>4</v>
      </c>
      <c r="E5" s="56">
        <f t="shared" ref="E5:E11" si="1">SUM(F5/D5)</f>
        <v>100939.25</v>
      </c>
      <c r="F5" s="39">
        <v>403757</v>
      </c>
      <c r="G5" s="62"/>
    </row>
    <row r="6" spans="1:8" ht="24.95" customHeight="1" x14ac:dyDescent="0.2">
      <c r="A6" s="16">
        <f t="shared" si="0"/>
        <v>3</v>
      </c>
      <c r="B6" s="69" t="s">
        <v>70</v>
      </c>
      <c r="C6" s="70"/>
      <c r="D6" s="57">
        <v>2</v>
      </c>
      <c r="E6" s="56">
        <f t="shared" si="1"/>
        <v>97228</v>
      </c>
      <c r="F6" s="39">
        <v>194456</v>
      </c>
      <c r="G6" s="62"/>
    </row>
    <row r="7" spans="1:8" ht="24.95" customHeight="1" x14ac:dyDescent="0.2">
      <c r="A7" s="16">
        <f t="shared" si="0"/>
        <v>4</v>
      </c>
      <c r="B7" s="69" t="s">
        <v>71</v>
      </c>
      <c r="C7" s="70"/>
      <c r="D7" s="57">
        <v>8</v>
      </c>
      <c r="E7" s="56">
        <f t="shared" si="1"/>
        <v>92032.75</v>
      </c>
      <c r="F7" s="39">
        <v>736262</v>
      </c>
      <c r="G7" s="62"/>
    </row>
    <row r="8" spans="1:8" ht="24.95" customHeight="1" x14ac:dyDescent="0.2">
      <c r="A8" s="16"/>
      <c r="B8" s="101" t="s">
        <v>89</v>
      </c>
      <c r="C8" s="102"/>
      <c r="D8" s="57">
        <v>5</v>
      </c>
      <c r="E8" s="56">
        <f t="shared" si="1"/>
        <v>90548.4</v>
      </c>
      <c r="F8" s="39">
        <v>452742</v>
      </c>
      <c r="G8" s="62"/>
    </row>
    <row r="9" spans="1:8" ht="24.95" customHeight="1" x14ac:dyDescent="0.2">
      <c r="A9" s="16">
        <f t="shared" si="0"/>
        <v>6</v>
      </c>
      <c r="B9" s="69" t="s">
        <v>68</v>
      </c>
      <c r="C9" s="70"/>
      <c r="D9" s="57">
        <v>8</v>
      </c>
      <c r="E9" s="56">
        <f t="shared" si="1"/>
        <v>89064</v>
      </c>
      <c r="F9" s="39">
        <v>712512</v>
      </c>
      <c r="G9" s="62"/>
    </row>
    <row r="10" spans="1:8" ht="24.95" customHeight="1" x14ac:dyDescent="0.2">
      <c r="A10" s="16">
        <f t="shared" si="0"/>
        <v>7</v>
      </c>
      <c r="B10" s="67" t="s">
        <v>90</v>
      </c>
      <c r="C10" s="68"/>
      <c r="D10" s="57">
        <v>9</v>
      </c>
      <c r="E10" s="56">
        <f t="shared" si="1"/>
        <v>81642</v>
      </c>
      <c r="F10" s="39">
        <v>734778</v>
      </c>
      <c r="G10" s="62"/>
    </row>
    <row r="11" spans="1:8" ht="24.95" customHeight="1" x14ac:dyDescent="0.2">
      <c r="A11" s="16">
        <f t="shared" si="0"/>
        <v>8</v>
      </c>
      <c r="B11" s="68" t="s">
        <v>9</v>
      </c>
      <c r="C11" s="68"/>
      <c r="D11" s="57">
        <v>2</v>
      </c>
      <c r="E11" s="56">
        <f t="shared" si="1"/>
        <v>60860.5</v>
      </c>
      <c r="F11" s="39">
        <v>121721</v>
      </c>
      <c r="G11" s="62"/>
    </row>
    <row r="12" spans="1:8" ht="24.95" customHeight="1" x14ac:dyDescent="0.2">
      <c r="A12" s="16">
        <f t="shared" si="0"/>
        <v>9</v>
      </c>
      <c r="B12" s="64" t="s">
        <v>47</v>
      </c>
      <c r="C12" s="64"/>
      <c r="D12" s="21">
        <v>4</v>
      </c>
      <c r="E12" s="22" t="s">
        <v>10</v>
      </c>
      <c r="F12" s="44">
        <v>24000</v>
      </c>
      <c r="G12" s="23" t="s">
        <v>64</v>
      </c>
    </row>
    <row r="13" spans="1:8" ht="24.95" customHeight="1" x14ac:dyDescent="0.2">
      <c r="A13" s="16">
        <f t="shared" si="0"/>
        <v>10</v>
      </c>
      <c r="B13" s="64" t="s">
        <v>11</v>
      </c>
      <c r="C13" s="64"/>
      <c r="D13" s="21">
        <v>42</v>
      </c>
      <c r="E13" s="22">
        <v>700</v>
      </c>
      <c r="F13" s="44">
        <f>SUM(D13*E13)</f>
        <v>29400</v>
      </c>
      <c r="G13" s="23" t="s">
        <v>12</v>
      </c>
    </row>
    <row r="14" spans="1:8" ht="24.95" customHeight="1" x14ac:dyDescent="0.2">
      <c r="A14" s="16">
        <f t="shared" si="0"/>
        <v>11</v>
      </c>
      <c r="B14" s="66" t="s">
        <v>13</v>
      </c>
      <c r="C14" s="66"/>
      <c r="D14" s="21">
        <v>42</v>
      </c>
      <c r="E14" s="22">
        <v>300</v>
      </c>
      <c r="F14" s="45">
        <f>SUM(D14*E14)</f>
        <v>12600</v>
      </c>
      <c r="G14" s="23" t="s">
        <v>14</v>
      </c>
    </row>
    <row r="15" spans="1:8" ht="32.25" customHeight="1" x14ac:dyDescent="0.2">
      <c r="A15" s="16">
        <v>11</v>
      </c>
      <c r="B15" s="71" t="s">
        <v>65</v>
      </c>
      <c r="C15" s="66"/>
      <c r="D15" s="21"/>
      <c r="E15" s="22"/>
      <c r="F15" s="45">
        <v>15000</v>
      </c>
      <c r="G15" s="41" t="s">
        <v>88</v>
      </c>
      <c r="H15" s="103"/>
    </row>
    <row r="16" spans="1:8" ht="33" customHeight="1" x14ac:dyDescent="0.2">
      <c r="A16" s="16">
        <f t="shared" si="0"/>
        <v>13</v>
      </c>
      <c r="B16" s="71" t="s">
        <v>74</v>
      </c>
      <c r="C16" s="66"/>
      <c r="D16" s="21"/>
      <c r="E16" s="22"/>
      <c r="F16" s="45">
        <v>10000</v>
      </c>
      <c r="G16" s="41" t="s">
        <v>79</v>
      </c>
    </row>
    <row r="17" spans="1:7" ht="24.95" customHeight="1" x14ac:dyDescent="0.2">
      <c r="A17" s="16">
        <f t="shared" si="0"/>
        <v>14</v>
      </c>
      <c r="B17" s="63" t="s">
        <v>66</v>
      </c>
      <c r="C17" s="64"/>
      <c r="D17" s="65" t="s">
        <v>15</v>
      </c>
      <c r="E17" s="65"/>
      <c r="F17" s="45">
        <v>124626</v>
      </c>
      <c r="G17" s="41" t="s">
        <v>67</v>
      </c>
    </row>
    <row r="18" spans="1:7" ht="24.95" customHeight="1" x14ac:dyDescent="0.2">
      <c r="A18" s="76">
        <f t="shared" si="0"/>
        <v>15</v>
      </c>
      <c r="B18" s="72" t="s">
        <v>16</v>
      </c>
      <c r="C18" s="73"/>
      <c r="D18" s="52">
        <v>42</v>
      </c>
      <c r="E18" s="53" t="s">
        <v>82</v>
      </c>
      <c r="F18" s="45">
        <v>2100</v>
      </c>
      <c r="G18" s="41" t="s">
        <v>83</v>
      </c>
    </row>
    <row r="19" spans="1:7" ht="37.5" customHeight="1" x14ac:dyDescent="0.2">
      <c r="A19" s="77"/>
      <c r="B19" s="74"/>
      <c r="C19" s="75"/>
      <c r="D19" s="63" t="s">
        <v>85</v>
      </c>
      <c r="E19" s="64"/>
      <c r="F19" s="54">
        <v>140864</v>
      </c>
      <c r="G19" s="41" t="s">
        <v>84</v>
      </c>
    </row>
    <row r="20" spans="1:7" ht="32.450000000000003" customHeight="1" x14ac:dyDescent="0.2">
      <c r="A20" s="16">
        <f t="shared" si="0"/>
        <v>17</v>
      </c>
      <c r="B20" s="66" t="s">
        <v>17</v>
      </c>
      <c r="C20" s="66"/>
      <c r="D20" s="21"/>
      <c r="E20" s="22" t="s">
        <v>49</v>
      </c>
      <c r="F20" s="22"/>
      <c r="G20" s="23" t="s">
        <v>61</v>
      </c>
    </row>
    <row r="21" spans="1:7" ht="24.95" customHeight="1" x14ac:dyDescent="0.2">
      <c r="A21" s="16">
        <f t="shared" si="0"/>
        <v>18</v>
      </c>
      <c r="B21" s="61" t="s">
        <v>18</v>
      </c>
      <c r="C21" s="61"/>
      <c r="D21" s="61"/>
      <c r="E21" s="61"/>
      <c r="F21" s="48">
        <f>SUM(F4:F19)</f>
        <v>4154200</v>
      </c>
      <c r="G21" s="24"/>
    </row>
    <row r="22" spans="1:7" ht="24.95" customHeight="1" x14ac:dyDescent="0.2"/>
    <row r="23" spans="1:7" ht="24.95" customHeight="1" x14ac:dyDescent="0.2">
      <c r="F23" s="47"/>
    </row>
    <row r="24" spans="1:7" ht="30" customHeight="1" x14ac:dyDescent="0.2"/>
  </sheetData>
  <mergeCells count="23">
    <mergeCell ref="A18:A19"/>
    <mergeCell ref="B6:C6"/>
    <mergeCell ref="A2:G2"/>
    <mergeCell ref="B3:C3"/>
    <mergeCell ref="B4:C4"/>
    <mergeCell ref="B5:C5"/>
    <mergeCell ref="B8:C8"/>
    <mergeCell ref="B21:E21"/>
    <mergeCell ref="G4:G11"/>
    <mergeCell ref="B17:C17"/>
    <mergeCell ref="D17:E17"/>
    <mergeCell ref="D19:E19"/>
    <mergeCell ref="B20:C20"/>
    <mergeCell ref="B10:C10"/>
    <mergeCell ref="B11:C11"/>
    <mergeCell ref="B12:C12"/>
    <mergeCell ref="B13:C13"/>
    <mergeCell ref="B14:C14"/>
    <mergeCell ref="B7:C7"/>
    <mergeCell ref="B9:C9"/>
    <mergeCell ref="B16:C16"/>
    <mergeCell ref="B15:C15"/>
    <mergeCell ref="B18:C19"/>
  </mergeCells>
  <phoneticPr fontId="1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opLeftCell="A2" zoomScaleNormal="100" workbookViewId="0">
      <selection activeCell="A10" sqref="A10:XFD11"/>
    </sheetView>
  </sheetViews>
  <sheetFormatPr defaultColWidth="9" defaultRowHeight="14.25" x14ac:dyDescent="0.2"/>
  <cols>
    <col min="1" max="1" width="11.5" customWidth="1"/>
    <col min="2" max="2" width="11" customWidth="1"/>
    <col min="3" max="9" width="9.75" customWidth="1"/>
    <col min="10" max="10" width="9.25" customWidth="1"/>
    <col min="11" max="12" width="7.75" customWidth="1"/>
    <col min="13" max="13" width="10.375" customWidth="1"/>
    <col min="14" max="14" width="9.25" customWidth="1"/>
    <col min="15" max="15" width="12.25" style="2" customWidth="1"/>
    <col min="16" max="16" width="9.25" customWidth="1"/>
    <col min="17" max="17" width="10.125" customWidth="1"/>
    <col min="18" max="18" width="9.75" customWidth="1"/>
    <col min="19" max="19" width="7" customWidth="1"/>
  </cols>
  <sheetData>
    <row r="1" spans="1:19" ht="44.25" customHeight="1" x14ac:dyDescent="0.2">
      <c r="A1" s="88" t="s">
        <v>62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19" ht="45" customHeight="1" x14ac:dyDescent="0.2">
      <c r="A2" s="81" t="s">
        <v>19</v>
      </c>
      <c r="B2" s="81"/>
      <c r="C2" s="81" t="s">
        <v>20</v>
      </c>
      <c r="D2" s="81" t="s">
        <v>50</v>
      </c>
      <c r="E2" s="86" t="s">
        <v>87</v>
      </c>
      <c r="F2" s="81" t="s">
        <v>51</v>
      </c>
      <c r="G2" s="81" t="s">
        <v>86</v>
      </c>
      <c r="H2" s="81" t="s">
        <v>52</v>
      </c>
      <c r="I2" s="81" t="s">
        <v>53</v>
      </c>
      <c r="J2" s="81" t="s">
        <v>54</v>
      </c>
      <c r="K2" s="83" t="s">
        <v>55</v>
      </c>
      <c r="L2" s="83"/>
      <c r="M2" s="83"/>
      <c r="N2" s="82" t="s">
        <v>46</v>
      </c>
      <c r="O2" s="83"/>
      <c r="P2" s="83"/>
      <c r="Q2" s="89" t="s">
        <v>26</v>
      </c>
      <c r="R2" s="90"/>
      <c r="S2" s="6"/>
    </row>
    <row r="3" spans="1:19" ht="45" customHeight="1" x14ac:dyDescent="0.2">
      <c r="A3" s="81"/>
      <c r="B3" s="81"/>
      <c r="C3" s="81"/>
      <c r="D3" s="81"/>
      <c r="E3" s="87"/>
      <c r="F3" s="81"/>
      <c r="G3" s="81"/>
      <c r="H3" s="81"/>
      <c r="I3" s="81"/>
      <c r="J3" s="81"/>
      <c r="K3" s="7" t="s">
        <v>21</v>
      </c>
      <c r="L3" s="17" t="s">
        <v>63</v>
      </c>
      <c r="M3" s="7" t="s">
        <v>22</v>
      </c>
      <c r="N3" s="7" t="s">
        <v>23</v>
      </c>
      <c r="O3" s="7" t="s">
        <v>24</v>
      </c>
      <c r="P3" s="7" t="s">
        <v>25</v>
      </c>
      <c r="Q3" s="7" t="s">
        <v>21</v>
      </c>
      <c r="R3" s="17" t="s">
        <v>63</v>
      </c>
    </row>
    <row r="4" spans="1:19" ht="45" customHeight="1" x14ac:dyDescent="0.2">
      <c r="A4" s="68" t="s">
        <v>6</v>
      </c>
      <c r="B4" s="68"/>
      <c r="C4" s="46">
        <v>4</v>
      </c>
      <c r="D4" s="20">
        <v>2000</v>
      </c>
      <c r="E4" s="51">
        <v>500</v>
      </c>
      <c r="F4" s="58">
        <v>2400</v>
      </c>
      <c r="G4" s="20">
        <v>2500</v>
      </c>
      <c r="H4" s="20"/>
      <c r="I4" s="20"/>
      <c r="J4" s="20"/>
      <c r="K4" s="29">
        <f>SUM(D4:G4)</f>
        <v>7400</v>
      </c>
      <c r="L4" s="27">
        <f>K4*12</f>
        <v>88800</v>
      </c>
      <c r="M4" s="27">
        <f t="shared" ref="M4:M11" si="0">SUM(K4*12*C4)</f>
        <v>355200</v>
      </c>
      <c r="N4" s="26">
        <v>84182</v>
      </c>
      <c r="O4" s="28">
        <f>SUM(M4+N4)</f>
        <v>439382</v>
      </c>
      <c r="P4" s="28">
        <v>1028.5</v>
      </c>
      <c r="Q4" s="29">
        <f t="shared" ref="Q4:Q11" si="1">SUM(K4-P4)</f>
        <v>6371.5</v>
      </c>
      <c r="R4" s="27">
        <f>Q4*12</f>
        <v>76458</v>
      </c>
    </row>
    <row r="5" spans="1:19" ht="45" customHeight="1" x14ac:dyDescent="0.2">
      <c r="A5" s="68" t="s">
        <v>8</v>
      </c>
      <c r="B5" s="68"/>
      <c r="C5" s="46">
        <v>4</v>
      </c>
      <c r="D5" s="42">
        <v>2000</v>
      </c>
      <c r="E5" s="51">
        <v>500</v>
      </c>
      <c r="F5" s="58">
        <v>1800</v>
      </c>
      <c r="G5" s="40">
        <v>2500</v>
      </c>
      <c r="H5" s="20"/>
      <c r="I5" s="20"/>
      <c r="J5" s="20"/>
      <c r="K5" s="29">
        <f t="shared" ref="K5:K11" si="2">SUM(D5:G5)</f>
        <v>6800</v>
      </c>
      <c r="L5" s="27">
        <f t="shared" ref="L5:L11" si="3">K5*12</f>
        <v>81600</v>
      </c>
      <c r="M5" s="27">
        <f t="shared" si="0"/>
        <v>326400</v>
      </c>
      <c r="N5" s="26">
        <v>77357</v>
      </c>
      <c r="O5" s="28">
        <f t="shared" ref="O5:O11" si="4">SUM(M5+N5)</f>
        <v>403757</v>
      </c>
      <c r="P5" s="28">
        <v>945.25</v>
      </c>
      <c r="Q5" s="29">
        <f t="shared" si="1"/>
        <v>5854.75</v>
      </c>
      <c r="R5" s="27">
        <f t="shared" ref="R5:R11" si="5">Q5*12</f>
        <v>70257</v>
      </c>
    </row>
    <row r="6" spans="1:19" ht="45" customHeight="1" x14ac:dyDescent="0.2">
      <c r="A6" s="69" t="s">
        <v>72</v>
      </c>
      <c r="B6" s="70"/>
      <c r="C6" s="46">
        <v>2</v>
      </c>
      <c r="D6" s="42">
        <v>2000</v>
      </c>
      <c r="E6" s="51">
        <v>500</v>
      </c>
      <c r="F6" s="58">
        <v>1550</v>
      </c>
      <c r="G6" s="40">
        <v>2500</v>
      </c>
      <c r="H6" s="20"/>
      <c r="I6" s="20"/>
      <c r="J6" s="20"/>
      <c r="K6" s="29">
        <f t="shared" si="2"/>
        <v>6550</v>
      </c>
      <c r="L6" s="27">
        <f t="shared" si="3"/>
        <v>78600</v>
      </c>
      <c r="M6" s="27">
        <f t="shared" si="0"/>
        <v>157200</v>
      </c>
      <c r="N6" s="26">
        <v>37256</v>
      </c>
      <c r="O6" s="28">
        <f t="shared" si="4"/>
        <v>194456</v>
      </c>
      <c r="P6" s="28">
        <v>910.5</v>
      </c>
      <c r="Q6" s="29">
        <f t="shared" si="1"/>
        <v>5639.5</v>
      </c>
      <c r="R6" s="27">
        <f t="shared" si="5"/>
        <v>67674</v>
      </c>
    </row>
    <row r="7" spans="1:19" ht="45" customHeight="1" x14ac:dyDescent="0.2">
      <c r="A7" s="84" t="s">
        <v>73</v>
      </c>
      <c r="B7" s="85"/>
      <c r="C7" s="46">
        <v>8</v>
      </c>
      <c r="D7" s="42">
        <v>2000</v>
      </c>
      <c r="E7" s="51">
        <v>500</v>
      </c>
      <c r="F7" s="58">
        <v>1200</v>
      </c>
      <c r="G7" s="40">
        <v>2500</v>
      </c>
      <c r="H7" s="20"/>
      <c r="I7" s="20"/>
      <c r="J7" s="20"/>
      <c r="K7" s="29">
        <f t="shared" si="2"/>
        <v>6200</v>
      </c>
      <c r="L7" s="27">
        <f t="shared" si="3"/>
        <v>74400</v>
      </c>
      <c r="M7" s="27">
        <f t="shared" si="0"/>
        <v>595200</v>
      </c>
      <c r="N7" s="26">
        <v>141062</v>
      </c>
      <c r="O7" s="28">
        <f t="shared" si="4"/>
        <v>736262</v>
      </c>
      <c r="P7" s="28">
        <v>861.75</v>
      </c>
      <c r="Q7" s="29">
        <f t="shared" si="1"/>
        <v>5338.25</v>
      </c>
      <c r="R7" s="27">
        <f t="shared" si="5"/>
        <v>64059</v>
      </c>
    </row>
    <row r="8" spans="1:19" ht="45" customHeight="1" x14ac:dyDescent="0.2">
      <c r="A8" s="84" t="s">
        <v>89</v>
      </c>
      <c r="B8" s="85"/>
      <c r="C8" s="60">
        <v>5</v>
      </c>
      <c r="D8" s="60">
        <v>2000</v>
      </c>
      <c r="E8" s="51">
        <v>500</v>
      </c>
      <c r="F8" s="58">
        <v>1100</v>
      </c>
      <c r="G8" s="60">
        <v>2500</v>
      </c>
      <c r="H8" s="60"/>
      <c r="I8" s="60"/>
      <c r="J8" s="60"/>
      <c r="K8" s="29">
        <f t="shared" si="2"/>
        <v>6100</v>
      </c>
      <c r="L8" s="27">
        <f t="shared" si="3"/>
        <v>73200</v>
      </c>
      <c r="M8" s="27">
        <f t="shared" si="0"/>
        <v>366000</v>
      </c>
      <c r="N8" s="26">
        <v>86742</v>
      </c>
      <c r="O8" s="28">
        <f t="shared" si="4"/>
        <v>452742</v>
      </c>
      <c r="P8" s="28">
        <v>848</v>
      </c>
      <c r="Q8" s="29">
        <f t="shared" si="1"/>
        <v>5252</v>
      </c>
      <c r="R8" s="27">
        <f t="shared" si="5"/>
        <v>63024</v>
      </c>
    </row>
    <row r="9" spans="1:19" ht="45" customHeight="1" x14ac:dyDescent="0.2">
      <c r="A9" s="84" t="s">
        <v>69</v>
      </c>
      <c r="B9" s="85"/>
      <c r="C9" s="46">
        <v>8</v>
      </c>
      <c r="D9" s="42">
        <v>2000</v>
      </c>
      <c r="E9" s="51">
        <v>500</v>
      </c>
      <c r="F9" s="58">
        <v>1000</v>
      </c>
      <c r="G9" s="40">
        <v>2500</v>
      </c>
      <c r="H9" s="20"/>
      <c r="I9" s="20"/>
      <c r="J9" s="20"/>
      <c r="K9" s="29">
        <f t="shared" si="2"/>
        <v>6000</v>
      </c>
      <c r="L9" s="27">
        <f t="shared" si="3"/>
        <v>72000</v>
      </c>
      <c r="M9" s="27">
        <f t="shared" si="0"/>
        <v>576000</v>
      </c>
      <c r="N9" s="26">
        <v>136512</v>
      </c>
      <c r="O9" s="28">
        <f t="shared" si="4"/>
        <v>712512</v>
      </c>
      <c r="P9" s="28">
        <v>834</v>
      </c>
      <c r="Q9" s="29">
        <f t="shared" si="1"/>
        <v>5166</v>
      </c>
      <c r="R9" s="27">
        <f t="shared" si="5"/>
        <v>61992</v>
      </c>
    </row>
    <row r="10" spans="1:19" ht="45" customHeight="1" x14ac:dyDescent="0.2">
      <c r="A10" s="84" t="s">
        <v>90</v>
      </c>
      <c r="B10" s="85"/>
      <c r="C10" s="60">
        <v>9</v>
      </c>
      <c r="D10" s="60">
        <v>2000</v>
      </c>
      <c r="E10" s="51">
        <v>500</v>
      </c>
      <c r="F10" s="58">
        <v>500</v>
      </c>
      <c r="G10" s="60">
        <v>2500</v>
      </c>
      <c r="H10" s="60"/>
      <c r="I10" s="60"/>
      <c r="J10" s="60"/>
      <c r="K10" s="29">
        <f t="shared" si="2"/>
        <v>5500</v>
      </c>
      <c r="L10" s="27">
        <f t="shared" si="3"/>
        <v>66000</v>
      </c>
      <c r="M10" s="27">
        <f t="shared" si="0"/>
        <v>594000</v>
      </c>
      <c r="N10" s="26">
        <v>140778</v>
      </c>
      <c r="O10" s="28">
        <f t="shared" si="4"/>
        <v>734778</v>
      </c>
      <c r="P10" s="28">
        <v>935.66666669999995</v>
      </c>
      <c r="Q10" s="29">
        <f t="shared" si="1"/>
        <v>4564.3333333</v>
      </c>
      <c r="R10" s="27">
        <f t="shared" si="5"/>
        <v>54771.999999599997</v>
      </c>
    </row>
    <row r="11" spans="1:19" ht="45" customHeight="1" x14ac:dyDescent="0.2">
      <c r="A11" s="84" t="s">
        <v>92</v>
      </c>
      <c r="B11" s="85"/>
      <c r="C11" s="60">
        <v>2</v>
      </c>
      <c r="D11" s="60">
        <v>2000</v>
      </c>
      <c r="E11" s="51">
        <v>500</v>
      </c>
      <c r="F11" s="58">
        <v>100</v>
      </c>
      <c r="G11" s="60">
        <v>1500</v>
      </c>
      <c r="H11" s="60"/>
      <c r="I11" s="60"/>
      <c r="J11" s="60"/>
      <c r="K11" s="29">
        <f t="shared" si="2"/>
        <v>4100</v>
      </c>
      <c r="L11" s="27">
        <f t="shared" si="3"/>
        <v>49200</v>
      </c>
      <c r="M11" s="27">
        <f t="shared" si="0"/>
        <v>98400</v>
      </c>
      <c r="N11" s="26">
        <v>23321</v>
      </c>
      <c r="O11" s="28">
        <f t="shared" si="4"/>
        <v>121721</v>
      </c>
      <c r="P11" s="28">
        <v>570</v>
      </c>
      <c r="Q11" s="29">
        <f t="shared" si="1"/>
        <v>3530</v>
      </c>
      <c r="R11" s="27">
        <f t="shared" si="5"/>
        <v>42360</v>
      </c>
    </row>
    <row r="12" spans="1:19" s="2" customFormat="1" ht="45" customHeight="1" x14ac:dyDescent="0.2">
      <c r="A12" s="68" t="s">
        <v>27</v>
      </c>
      <c r="B12" s="68"/>
      <c r="C12" s="30">
        <f>SUM(C4:C11)</f>
        <v>42</v>
      </c>
      <c r="D12" s="21"/>
      <c r="E12" s="21"/>
      <c r="F12" s="21">
        <f>SUM(F4:F11)</f>
        <v>9650</v>
      </c>
      <c r="G12" s="21"/>
      <c r="H12" s="21"/>
      <c r="I12" s="21"/>
      <c r="J12" s="21"/>
      <c r="K12" s="31"/>
      <c r="L12" s="31"/>
      <c r="M12" s="31">
        <f>SUM(M4:M11)</f>
        <v>3068400</v>
      </c>
      <c r="N12" s="31"/>
      <c r="O12" s="31">
        <f>SUM(O4:O11)</f>
        <v>3795610</v>
      </c>
      <c r="P12" s="31"/>
      <c r="Q12" s="32"/>
      <c r="R12" s="19"/>
    </row>
    <row r="13" spans="1:19" s="2" customFormat="1" ht="17.25" customHeight="1" x14ac:dyDescent="0.2">
      <c r="A13" s="13"/>
      <c r="B13" s="13"/>
      <c r="C13" s="14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2"/>
    </row>
    <row r="14" spans="1:19" s="2" customFormat="1" ht="17.25" customHeight="1" x14ac:dyDescent="0.2">
      <c r="A14" s="13"/>
      <c r="B14" s="13"/>
      <c r="C14" s="14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2"/>
    </row>
    <row r="15" spans="1:19" s="2" customFormat="1" ht="17.25" customHeight="1" x14ac:dyDescent="0.2">
      <c r="A15" s="13"/>
      <c r="B15" s="13"/>
      <c r="C15" s="14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2"/>
    </row>
    <row r="16" spans="1:19" s="2" customFormat="1" ht="17.25" customHeight="1" x14ac:dyDescent="0.2">
      <c r="A16" s="13"/>
      <c r="B16" s="13"/>
      <c r="C16" s="14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2"/>
    </row>
    <row r="17" spans="1:19" s="2" customFormat="1" ht="17.25" customHeight="1" x14ac:dyDescent="0.2">
      <c r="A17" s="13"/>
      <c r="B17" s="13"/>
      <c r="C17" s="14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2"/>
    </row>
    <row r="18" spans="1:19" s="2" customFormat="1" ht="17.25" customHeight="1" x14ac:dyDescent="0.2">
      <c r="A18" s="13"/>
      <c r="B18" s="13"/>
      <c r="C18" s="14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2"/>
    </row>
    <row r="19" spans="1:19" s="2" customFormat="1" ht="17.25" customHeight="1" x14ac:dyDescent="0.2">
      <c r="A19" s="13"/>
      <c r="B19" s="13"/>
      <c r="C19" s="14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2"/>
    </row>
    <row r="20" spans="1:19" s="2" customFormat="1" ht="17.25" customHeight="1" x14ac:dyDescent="0.2">
      <c r="A20" s="13"/>
      <c r="B20" s="13"/>
      <c r="C20" s="14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2"/>
    </row>
    <row r="21" spans="1:19" s="2" customFormat="1" ht="17.25" customHeight="1" x14ac:dyDescent="0.2">
      <c r="A21" s="13"/>
      <c r="B21" s="13"/>
      <c r="C21" s="14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2"/>
    </row>
    <row r="22" spans="1:19" s="2" customFormat="1" ht="17.25" customHeight="1" x14ac:dyDescent="0.2">
      <c r="A22" s="13"/>
      <c r="B22" s="13"/>
      <c r="C22" s="14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2"/>
    </row>
    <row r="23" spans="1:19" s="2" customFormat="1" ht="17.25" customHeight="1" x14ac:dyDescent="0.2">
      <c r="A23" s="13"/>
      <c r="B23" s="13"/>
      <c r="C23" s="14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2"/>
    </row>
    <row r="24" spans="1:19" s="2" customFormat="1" ht="17.25" customHeight="1" x14ac:dyDescent="0.2">
      <c r="A24" s="13"/>
      <c r="B24" s="13"/>
      <c r="C24" s="14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2"/>
    </row>
    <row r="25" spans="1:19" ht="15" x14ac:dyDescent="0.2">
      <c r="A25" s="11"/>
      <c r="B25" s="11"/>
      <c r="C25" s="1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1"/>
    </row>
  </sheetData>
  <mergeCells count="22">
    <mergeCell ref="A8:B8"/>
    <mergeCell ref="A7:B7"/>
    <mergeCell ref="A1:R1"/>
    <mergeCell ref="A10:B10"/>
    <mergeCell ref="A11:B11"/>
    <mergeCell ref="Q2:R2"/>
    <mergeCell ref="A12:B12"/>
    <mergeCell ref="A2:B3"/>
    <mergeCell ref="N2:P2"/>
    <mergeCell ref="D2:D3"/>
    <mergeCell ref="F2:F3"/>
    <mergeCell ref="G2:G3"/>
    <mergeCell ref="H2:H3"/>
    <mergeCell ref="J2:J3"/>
    <mergeCell ref="I2:I3"/>
    <mergeCell ref="K2:M2"/>
    <mergeCell ref="A4:B4"/>
    <mergeCell ref="A9:B9"/>
    <mergeCell ref="A5:B5"/>
    <mergeCell ref="A6:B6"/>
    <mergeCell ref="C2:C3"/>
    <mergeCell ref="E2:E3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"/>
  <sheetViews>
    <sheetView zoomScale="85" zoomScaleNormal="85" workbookViewId="0">
      <selection activeCell="AB11" sqref="AB11"/>
    </sheetView>
  </sheetViews>
  <sheetFormatPr defaultColWidth="9" defaultRowHeight="14.25" x14ac:dyDescent="0.2"/>
  <cols>
    <col min="2" max="2" width="2.75" customWidth="1"/>
    <col min="5" max="5" width="9.625" customWidth="1"/>
    <col min="6" max="6" width="9" style="2"/>
    <col min="8" max="8" width="8.875" customWidth="1"/>
    <col min="9" max="9" width="9" style="2"/>
    <col min="11" max="11" width="9" style="2"/>
    <col min="16" max="16" width="9" style="2"/>
    <col min="19" max="19" width="7.625" customWidth="1"/>
    <col min="20" max="23" width="10.5" customWidth="1"/>
    <col min="24" max="24" width="13.375" customWidth="1"/>
  </cols>
  <sheetData>
    <row r="1" spans="1:36" ht="53.25" customHeight="1" x14ac:dyDescent="0.2">
      <c r="A1" s="91" t="s">
        <v>56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6" s="9" customFormat="1" ht="30" customHeight="1" x14ac:dyDescent="0.2">
      <c r="A2" s="80" t="s">
        <v>48</v>
      </c>
      <c r="B2" s="80"/>
      <c r="C2" s="81" t="s">
        <v>28</v>
      </c>
      <c r="D2" s="81"/>
      <c r="E2" s="81"/>
      <c r="F2" s="81" t="s">
        <v>29</v>
      </c>
      <c r="G2" s="81"/>
      <c r="H2" s="81"/>
      <c r="I2" s="81" t="s">
        <v>30</v>
      </c>
      <c r="J2" s="81"/>
      <c r="K2" s="81" t="s">
        <v>31</v>
      </c>
      <c r="L2" s="81"/>
      <c r="M2" s="81"/>
      <c r="N2" s="92" t="s">
        <v>32</v>
      </c>
      <c r="O2" s="93"/>
      <c r="P2" s="81" t="s">
        <v>33</v>
      </c>
      <c r="Q2" s="81"/>
      <c r="R2" s="81"/>
      <c r="S2" s="81" t="s">
        <v>34</v>
      </c>
      <c r="T2" s="83" t="s">
        <v>59</v>
      </c>
      <c r="U2" s="83" t="s">
        <v>60</v>
      </c>
      <c r="V2" s="96" t="s">
        <v>80</v>
      </c>
      <c r="W2" s="83" t="s">
        <v>57</v>
      </c>
      <c r="X2" s="83" t="s">
        <v>58</v>
      </c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</row>
    <row r="3" spans="1:36" s="9" customFormat="1" ht="23.25" customHeight="1" x14ac:dyDescent="0.2">
      <c r="A3" s="80"/>
      <c r="B3" s="80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94"/>
      <c r="O3" s="95"/>
      <c r="P3" s="81"/>
      <c r="Q3" s="81"/>
      <c r="R3" s="81"/>
      <c r="S3" s="81"/>
      <c r="T3" s="83"/>
      <c r="U3" s="83"/>
      <c r="V3" s="97"/>
      <c r="W3" s="81"/>
      <c r="X3" s="81"/>
    </row>
    <row r="4" spans="1:36" s="9" customFormat="1" ht="44.25" customHeight="1" x14ac:dyDescent="0.2">
      <c r="A4" s="80"/>
      <c r="B4" s="80"/>
      <c r="C4" s="18" t="s">
        <v>35</v>
      </c>
      <c r="D4" s="18" t="s">
        <v>36</v>
      </c>
      <c r="E4" s="18" t="s">
        <v>37</v>
      </c>
      <c r="F4" s="18" t="s">
        <v>35</v>
      </c>
      <c r="G4" s="10" t="s">
        <v>38</v>
      </c>
      <c r="H4" s="18" t="s">
        <v>39</v>
      </c>
      <c r="I4" s="18" t="s">
        <v>35</v>
      </c>
      <c r="J4" s="18" t="s">
        <v>38</v>
      </c>
      <c r="K4" s="18" t="s">
        <v>35</v>
      </c>
      <c r="L4" s="18" t="s">
        <v>40</v>
      </c>
      <c r="M4" s="18" t="s">
        <v>41</v>
      </c>
      <c r="N4" s="18" t="s">
        <v>42</v>
      </c>
      <c r="O4" s="18" t="s">
        <v>43</v>
      </c>
      <c r="P4" s="18" t="s">
        <v>35</v>
      </c>
      <c r="Q4" s="18" t="s">
        <v>44</v>
      </c>
      <c r="R4" s="18" t="s">
        <v>45</v>
      </c>
      <c r="S4" s="81"/>
      <c r="T4" s="83"/>
      <c r="U4" s="83"/>
      <c r="V4" s="98"/>
      <c r="W4" s="81"/>
      <c r="X4" s="81"/>
      <c r="Z4" s="59"/>
      <c r="AB4" s="59"/>
    </row>
    <row r="5" spans="1:36" s="1" customFormat="1" ht="44.25" customHeight="1" x14ac:dyDescent="0.2">
      <c r="A5" s="68" t="s">
        <v>6</v>
      </c>
      <c r="B5" s="68"/>
      <c r="C5" s="29">
        <v>7400</v>
      </c>
      <c r="D5" s="33">
        <f>SUM(C5*14%*S5)</f>
        <v>4144</v>
      </c>
      <c r="E5" s="33">
        <f>SUM(C5*8%*S5)</f>
        <v>2368</v>
      </c>
      <c r="F5" s="29">
        <f>C5</f>
        <v>7400</v>
      </c>
      <c r="G5" s="34">
        <f>SUM(F5*0.8%*S5)</f>
        <v>236.8</v>
      </c>
      <c r="H5" s="34">
        <f>SUM(F5*0.2%*S5)</f>
        <v>59.2</v>
      </c>
      <c r="I5" s="29">
        <f>C5</f>
        <v>7400</v>
      </c>
      <c r="J5" s="35">
        <f>SUM(I5*0.8%*S5)</f>
        <v>236.8</v>
      </c>
      <c r="K5" s="29">
        <f>C5</f>
        <v>7400</v>
      </c>
      <c r="L5" s="35">
        <f>SUM(K5*3.1%*S5)</f>
        <v>917.6</v>
      </c>
      <c r="M5" s="35">
        <f>SUM(K5*0.7%*S5)</f>
        <v>207.2</v>
      </c>
      <c r="N5" s="36">
        <f>D5+G5+J5+L5</f>
        <v>5535.2000000000007</v>
      </c>
      <c r="O5" s="37">
        <f>E5+H5+M5</f>
        <v>2634.3999999999996</v>
      </c>
      <c r="P5" s="29">
        <f>C5</f>
        <v>7400</v>
      </c>
      <c r="Q5" s="38">
        <f>SUM(P5*5%*S5)</f>
        <v>1480</v>
      </c>
      <c r="R5" s="38">
        <f>Q5</f>
        <v>1480</v>
      </c>
      <c r="S5" s="55">
        <v>4</v>
      </c>
      <c r="T5" s="26">
        <f>SUM(D5+G5+J5+L5+Q5)</f>
        <v>7015.2000000000007</v>
      </c>
      <c r="U5" s="26">
        <f>SUM(T5*12)</f>
        <v>84182.400000000009</v>
      </c>
      <c r="V5" s="26">
        <f>W5/S5</f>
        <v>1028.5999999999999</v>
      </c>
      <c r="W5" s="26">
        <f>SUM(O5+R5)</f>
        <v>4114.3999999999996</v>
      </c>
      <c r="X5" s="26">
        <f>SUM(W5*12)</f>
        <v>49372.799999999996</v>
      </c>
      <c r="Z5" s="59"/>
      <c r="AA5" s="9"/>
      <c r="AB5" s="59"/>
      <c r="AC5" s="9"/>
    </row>
    <row r="6" spans="1:36" s="1" customFormat="1" ht="44.25" customHeight="1" x14ac:dyDescent="0.2">
      <c r="A6" s="68" t="s">
        <v>8</v>
      </c>
      <c r="B6" s="68"/>
      <c r="C6" s="29">
        <v>6800</v>
      </c>
      <c r="D6" s="33">
        <f t="shared" ref="D6:D12" si="0">SUM(C6*14%*S6)</f>
        <v>3808.0000000000005</v>
      </c>
      <c r="E6" s="33">
        <f t="shared" ref="E6:E12" si="1">SUM(C6*8%*S6)</f>
        <v>2176</v>
      </c>
      <c r="F6" s="29">
        <f t="shared" ref="F6:F12" si="2">C6</f>
        <v>6800</v>
      </c>
      <c r="G6" s="34">
        <f t="shared" ref="G6:G12" si="3">SUM(F6*0.8%*S6)</f>
        <v>217.6</v>
      </c>
      <c r="H6" s="34">
        <f t="shared" ref="H6:H12" si="4">SUM(F6*0.2%*S6)</f>
        <v>54.4</v>
      </c>
      <c r="I6" s="29">
        <f t="shared" ref="I6:I12" si="5">C6</f>
        <v>6800</v>
      </c>
      <c r="J6" s="35">
        <f t="shared" ref="J6:J12" si="6">SUM(I6*0.8%*S6)</f>
        <v>217.6</v>
      </c>
      <c r="K6" s="29">
        <f t="shared" ref="K6:K12" si="7">C6</f>
        <v>6800</v>
      </c>
      <c r="L6" s="35">
        <f t="shared" ref="L6:L12" si="8">SUM(K6*3.1%*S6)</f>
        <v>843.2</v>
      </c>
      <c r="M6" s="35">
        <f t="shared" ref="M6:M12" si="9">SUM(K6*0.7%*S6)</f>
        <v>190.39999999999998</v>
      </c>
      <c r="N6" s="36">
        <f t="shared" ref="N6:N12" si="10">D6+G6+J6+L6</f>
        <v>5086.4000000000005</v>
      </c>
      <c r="O6" s="37">
        <f t="shared" ref="O6:O12" si="11">E6+H6+M6</f>
        <v>2420.8000000000002</v>
      </c>
      <c r="P6" s="29">
        <f t="shared" ref="P6:P12" si="12">C6</f>
        <v>6800</v>
      </c>
      <c r="Q6" s="38">
        <f t="shared" ref="Q6:Q12" si="13">SUM(P6*5%*S6)</f>
        <v>1360</v>
      </c>
      <c r="R6" s="38">
        <f t="shared" ref="R6:R12" si="14">Q6</f>
        <v>1360</v>
      </c>
      <c r="S6" s="55">
        <v>4</v>
      </c>
      <c r="T6" s="26">
        <f t="shared" ref="T6:T12" si="15">SUM(D6+G6+J6+L6+Q6)</f>
        <v>6446.4000000000005</v>
      </c>
      <c r="U6" s="26">
        <f t="shared" ref="U6:U12" si="16">SUM(T6*12)</f>
        <v>77356.800000000003</v>
      </c>
      <c r="V6" s="26">
        <f t="shared" ref="V6:V12" si="17">W6/S6</f>
        <v>945.2</v>
      </c>
      <c r="W6" s="26">
        <f t="shared" ref="W6:W12" si="18">SUM(O6+R6)</f>
        <v>3780.8</v>
      </c>
      <c r="X6" s="26">
        <f t="shared" ref="X6:X12" si="19">SUM(W6*12)</f>
        <v>45369.600000000006</v>
      </c>
      <c r="Z6" s="59"/>
      <c r="AA6" s="9"/>
      <c r="AB6" s="59"/>
      <c r="AC6" s="9"/>
    </row>
    <row r="7" spans="1:36" s="1" customFormat="1" ht="44.25" customHeight="1" x14ac:dyDescent="0.2">
      <c r="A7" s="69" t="s">
        <v>78</v>
      </c>
      <c r="B7" s="69"/>
      <c r="C7" s="29">
        <v>6550</v>
      </c>
      <c r="D7" s="33">
        <f t="shared" si="0"/>
        <v>1834.0000000000002</v>
      </c>
      <c r="E7" s="33">
        <f t="shared" si="1"/>
        <v>1048</v>
      </c>
      <c r="F7" s="29">
        <f t="shared" si="2"/>
        <v>6550</v>
      </c>
      <c r="G7" s="34">
        <f t="shared" si="3"/>
        <v>104.8</v>
      </c>
      <c r="H7" s="34">
        <f t="shared" si="4"/>
        <v>26.2</v>
      </c>
      <c r="I7" s="29">
        <f t="shared" si="5"/>
        <v>6550</v>
      </c>
      <c r="J7" s="35">
        <f t="shared" si="6"/>
        <v>104.8</v>
      </c>
      <c r="K7" s="29">
        <f t="shared" si="7"/>
        <v>6550</v>
      </c>
      <c r="L7" s="35">
        <f t="shared" si="8"/>
        <v>406.1</v>
      </c>
      <c r="M7" s="35">
        <f t="shared" si="9"/>
        <v>91.699999999999989</v>
      </c>
      <c r="N7" s="36">
        <f t="shared" si="10"/>
        <v>2449.7000000000003</v>
      </c>
      <c r="O7" s="37">
        <f t="shared" si="11"/>
        <v>1165.9000000000001</v>
      </c>
      <c r="P7" s="29">
        <f t="shared" si="12"/>
        <v>6550</v>
      </c>
      <c r="Q7" s="38">
        <f t="shared" si="13"/>
        <v>655</v>
      </c>
      <c r="R7" s="38">
        <f t="shared" si="14"/>
        <v>655</v>
      </c>
      <c r="S7" s="55">
        <v>2</v>
      </c>
      <c r="T7" s="26">
        <f t="shared" si="15"/>
        <v>3104.7000000000003</v>
      </c>
      <c r="U7" s="26">
        <f t="shared" si="16"/>
        <v>37256.400000000001</v>
      </c>
      <c r="V7" s="26">
        <f t="shared" si="17"/>
        <v>910.45</v>
      </c>
      <c r="W7" s="26">
        <f t="shared" si="18"/>
        <v>1820.9</v>
      </c>
      <c r="X7" s="26">
        <f t="shared" si="19"/>
        <v>21850.800000000003</v>
      </c>
      <c r="Z7" s="59"/>
      <c r="AA7" s="9"/>
      <c r="AB7" s="59"/>
      <c r="AC7" s="9"/>
    </row>
    <row r="8" spans="1:36" s="1" customFormat="1" ht="44.25" customHeight="1" x14ac:dyDescent="0.2">
      <c r="A8" s="67" t="s">
        <v>77</v>
      </c>
      <c r="B8" s="67"/>
      <c r="C8" s="29">
        <v>6200</v>
      </c>
      <c r="D8" s="33">
        <f t="shared" si="0"/>
        <v>6944.0000000000009</v>
      </c>
      <c r="E8" s="33">
        <f t="shared" si="1"/>
        <v>3968</v>
      </c>
      <c r="F8" s="29">
        <f t="shared" si="2"/>
        <v>6200</v>
      </c>
      <c r="G8" s="34">
        <f t="shared" si="3"/>
        <v>396.8</v>
      </c>
      <c r="H8" s="34">
        <f t="shared" si="4"/>
        <v>99.2</v>
      </c>
      <c r="I8" s="29">
        <f t="shared" si="5"/>
        <v>6200</v>
      </c>
      <c r="J8" s="35">
        <f t="shared" si="6"/>
        <v>396.8</v>
      </c>
      <c r="K8" s="29">
        <f t="shared" si="7"/>
        <v>6200</v>
      </c>
      <c r="L8" s="35">
        <f t="shared" si="8"/>
        <v>1537.6</v>
      </c>
      <c r="M8" s="35">
        <f t="shared" si="9"/>
        <v>347.2</v>
      </c>
      <c r="N8" s="36">
        <f t="shared" si="10"/>
        <v>9275.2000000000007</v>
      </c>
      <c r="O8" s="37">
        <f t="shared" si="11"/>
        <v>4414.3999999999996</v>
      </c>
      <c r="P8" s="29">
        <f t="shared" si="12"/>
        <v>6200</v>
      </c>
      <c r="Q8" s="38">
        <f t="shared" si="13"/>
        <v>2480</v>
      </c>
      <c r="R8" s="38">
        <f t="shared" si="14"/>
        <v>2480</v>
      </c>
      <c r="S8" s="55">
        <v>8</v>
      </c>
      <c r="T8" s="26">
        <f t="shared" si="15"/>
        <v>11755.2</v>
      </c>
      <c r="U8" s="26">
        <f t="shared" si="16"/>
        <v>141062.40000000002</v>
      </c>
      <c r="V8" s="26">
        <f t="shared" si="17"/>
        <v>861.8</v>
      </c>
      <c r="W8" s="26">
        <f t="shared" si="18"/>
        <v>6894.4</v>
      </c>
      <c r="X8" s="26">
        <f t="shared" si="19"/>
        <v>82732.799999999988</v>
      </c>
      <c r="Z8" s="59"/>
      <c r="AA8" s="9"/>
      <c r="AB8" s="59"/>
      <c r="AC8" s="9"/>
    </row>
    <row r="9" spans="1:36" s="1" customFormat="1" ht="44.25" customHeight="1" x14ac:dyDescent="0.2">
      <c r="A9" s="67" t="s">
        <v>89</v>
      </c>
      <c r="B9" s="67"/>
      <c r="C9" s="29">
        <v>6100</v>
      </c>
      <c r="D9" s="33">
        <f t="shared" si="0"/>
        <v>4270.0000000000009</v>
      </c>
      <c r="E9" s="33">
        <f t="shared" si="1"/>
        <v>2440</v>
      </c>
      <c r="F9" s="29">
        <f t="shared" si="2"/>
        <v>6100</v>
      </c>
      <c r="G9" s="34">
        <f t="shared" si="3"/>
        <v>244.00000000000003</v>
      </c>
      <c r="H9" s="34">
        <f t="shared" si="4"/>
        <v>61.000000000000007</v>
      </c>
      <c r="I9" s="29">
        <f t="shared" si="5"/>
        <v>6100</v>
      </c>
      <c r="J9" s="35">
        <f t="shared" si="6"/>
        <v>244.00000000000003</v>
      </c>
      <c r="K9" s="29">
        <f t="shared" si="7"/>
        <v>6100</v>
      </c>
      <c r="L9" s="35">
        <f t="shared" si="8"/>
        <v>945.5</v>
      </c>
      <c r="M9" s="35">
        <f t="shared" si="9"/>
        <v>213.49999999999997</v>
      </c>
      <c r="N9" s="36">
        <f t="shared" si="10"/>
        <v>5703.5000000000009</v>
      </c>
      <c r="O9" s="37">
        <f t="shared" si="11"/>
        <v>2714.5</v>
      </c>
      <c r="P9" s="29">
        <f t="shared" si="12"/>
        <v>6100</v>
      </c>
      <c r="Q9" s="38">
        <f t="shared" si="13"/>
        <v>1525</v>
      </c>
      <c r="R9" s="38">
        <f t="shared" si="14"/>
        <v>1525</v>
      </c>
      <c r="S9" s="60">
        <v>5</v>
      </c>
      <c r="T9" s="26">
        <f t="shared" si="15"/>
        <v>7228.5000000000009</v>
      </c>
      <c r="U9" s="26">
        <f t="shared" si="16"/>
        <v>86742.000000000015</v>
      </c>
      <c r="V9" s="26">
        <f t="shared" si="17"/>
        <v>847.9</v>
      </c>
      <c r="W9" s="26">
        <f t="shared" si="18"/>
        <v>4239.5</v>
      </c>
      <c r="X9" s="26">
        <f t="shared" si="19"/>
        <v>50874</v>
      </c>
      <c r="Z9" s="59"/>
      <c r="AA9" s="9"/>
      <c r="AB9" s="59"/>
      <c r="AC9" s="9"/>
    </row>
    <row r="10" spans="1:36" s="1" customFormat="1" ht="44.25" customHeight="1" x14ac:dyDescent="0.2">
      <c r="A10" s="67" t="s">
        <v>76</v>
      </c>
      <c r="B10" s="67"/>
      <c r="C10" s="29">
        <v>6000</v>
      </c>
      <c r="D10" s="33">
        <f t="shared" si="0"/>
        <v>6720.0000000000009</v>
      </c>
      <c r="E10" s="33">
        <f t="shared" si="1"/>
        <v>3840</v>
      </c>
      <c r="F10" s="29">
        <f t="shared" si="2"/>
        <v>6000</v>
      </c>
      <c r="G10" s="34">
        <f t="shared" si="3"/>
        <v>384</v>
      </c>
      <c r="H10" s="34">
        <f t="shared" si="4"/>
        <v>96</v>
      </c>
      <c r="I10" s="29">
        <f t="shared" si="5"/>
        <v>6000</v>
      </c>
      <c r="J10" s="35">
        <f t="shared" si="6"/>
        <v>384</v>
      </c>
      <c r="K10" s="29">
        <f t="shared" si="7"/>
        <v>6000</v>
      </c>
      <c r="L10" s="35">
        <f t="shared" si="8"/>
        <v>1488</v>
      </c>
      <c r="M10" s="35">
        <f t="shared" si="9"/>
        <v>335.99999999999994</v>
      </c>
      <c r="N10" s="36">
        <f t="shared" si="10"/>
        <v>8976</v>
      </c>
      <c r="O10" s="37">
        <f t="shared" si="11"/>
        <v>4272</v>
      </c>
      <c r="P10" s="29">
        <f t="shared" si="12"/>
        <v>6000</v>
      </c>
      <c r="Q10" s="38">
        <f t="shared" si="13"/>
        <v>2400</v>
      </c>
      <c r="R10" s="38">
        <f t="shared" si="14"/>
        <v>2400</v>
      </c>
      <c r="S10" s="60">
        <v>8</v>
      </c>
      <c r="T10" s="26">
        <f t="shared" si="15"/>
        <v>11376</v>
      </c>
      <c r="U10" s="26">
        <f t="shared" si="16"/>
        <v>136512</v>
      </c>
      <c r="V10" s="26">
        <f t="shared" si="17"/>
        <v>834</v>
      </c>
      <c r="W10" s="26">
        <f t="shared" si="18"/>
        <v>6672</v>
      </c>
      <c r="X10" s="26">
        <f t="shared" si="19"/>
        <v>80064</v>
      </c>
      <c r="Z10" s="59"/>
      <c r="AA10" s="9"/>
      <c r="AB10" s="59"/>
      <c r="AC10" s="9"/>
    </row>
    <row r="11" spans="1:36" s="1" customFormat="1" ht="44.25" customHeight="1" x14ac:dyDescent="0.2">
      <c r="A11" s="67" t="s">
        <v>91</v>
      </c>
      <c r="B11" s="68"/>
      <c r="C11" s="29">
        <v>5500</v>
      </c>
      <c r="D11" s="33">
        <f t="shared" si="0"/>
        <v>6930.0000000000009</v>
      </c>
      <c r="E11" s="33">
        <v>5500</v>
      </c>
      <c r="F11" s="29">
        <f t="shared" si="2"/>
        <v>5500</v>
      </c>
      <c r="G11" s="34">
        <f t="shared" si="3"/>
        <v>396</v>
      </c>
      <c r="H11" s="34">
        <f t="shared" si="4"/>
        <v>99</v>
      </c>
      <c r="I11" s="29">
        <f t="shared" si="5"/>
        <v>5500</v>
      </c>
      <c r="J11" s="35">
        <f t="shared" si="6"/>
        <v>396</v>
      </c>
      <c r="K11" s="29">
        <f t="shared" si="7"/>
        <v>5500</v>
      </c>
      <c r="L11" s="35">
        <f t="shared" si="8"/>
        <v>1534.5</v>
      </c>
      <c r="M11" s="35">
        <f t="shared" si="9"/>
        <v>346.49999999999994</v>
      </c>
      <c r="N11" s="36">
        <f t="shared" si="10"/>
        <v>9256.5</v>
      </c>
      <c r="O11" s="37">
        <f t="shared" si="11"/>
        <v>5945.5</v>
      </c>
      <c r="P11" s="29">
        <f t="shared" si="12"/>
        <v>5500</v>
      </c>
      <c r="Q11" s="38">
        <f t="shared" si="13"/>
        <v>2475</v>
      </c>
      <c r="R11" s="38">
        <f t="shared" si="14"/>
        <v>2475</v>
      </c>
      <c r="S11" s="60">
        <v>9</v>
      </c>
      <c r="T11" s="26">
        <f t="shared" si="15"/>
        <v>11731.5</v>
      </c>
      <c r="U11" s="26">
        <f t="shared" si="16"/>
        <v>140778</v>
      </c>
      <c r="V11" s="26">
        <f t="shared" si="17"/>
        <v>935.61111111111109</v>
      </c>
      <c r="W11" s="26">
        <f t="shared" si="18"/>
        <v>8420.5</v>
      </c>
      <c r="X11" s="26">
        <f t="shared" si="19"/>
        <v>101046</v>
      </c>
      <c r="Z11" s="59"/>
      <c r="AA11" s="9"/>
      <c r="AB11" s="59"/>
      <c r="AC11" s="9"/>
    </row>
    <row r="12" spans="1:36" s="1" customFormat="1" ht="44.25" customHeight="1" x14ac:dyDescent="0.2">
      <c r="A12" s="68" t="s">
        <v>9</v>
      </c>
      <c r="B12" s="68"/>
      <c r="C12" s="29">
        <v>4100</v>
      </c>
      <c r="D12" s="33">
        <f t="shared" si="0"/>
        <v>1148</v>
      </c>
      <c r="E12" s="33">
        <f t="shared" si="1"/>
        <v>656</v>
      </c>
      <c r="F12" s="29">
        <f t="shared" si="2"/>
        <v>4100</v>
      </c>
      <c r="G12" s="34">
        <f t="shared" si="3"/>
        <v>65.599999999999994</v>
      </c>
      <c r="H12" s="34">
        <f t="shared" si="4"/>
        <v>16.399999999999999</v>
      </c>
      <c r="I12" s="29">
        <f t="shared" si="5"/>
        <v>4100</v>
      </c>
      <c r="J12" s="35">
        <f t="shared" si="6"/>
        <v>65.599999999999994</v>
      </c>
      <c r="K12" s="29">
        <f t="shared" si="7"/>
        <v>4100</v>
      </c>
      <c r="L12" s="35">
        <f t="shared" si="8"/>
        <v>254.2</v>
      </c>
      <c r="M12" s="35">
        <f t="shared" si="9"/>
        <v>57.399999999999991</v>
      </c>
      <c r="N12" s="36">
        <f t="shared" si="10"/>
        <v>1533.3999999999999</v>
      </c>
      <c r="O12" s="37">
        <f t="shared" si="11"/>
        <v>729.8</v>
      </c>
      <c r="P12" s="29">
        <f t="shared" si="12"/>
        <v>4100</v>
      </c>
      <c r="Q12" s="38">
        <f t="shared" si="13"/>
        <v>410</v>
      </c>
      <c r="R12" s="38">
        <f t="shared" si="14"/>
        <v>410</v>
      </c>
      <c r="S12" s="60">
        <v>2</v>
      </c>
      <c r="T12" s="26">
        <f t="shared" si="15"/>
        <v>1943.3999999999999</v>
      </c>
      <c r="U12" s="26">
        <f t="shared" si="16"/>
        <v>23320.799999999999</v>
      </c>
      <c r="V12" s="26">
        <f t="shared" si="17"/>
        <v>569.9</v>
      </c>
      <c r="W12" s="26">
        <f t="shared" si="18"/>
        <v>1139.8</v>
      </c>
      <c r="X12" s="26">
        <f t="shared" si="19"/>
        <v>13677.599999999999</v>
      </c>
      <c r="Z12" s="59"/>
      <c r="AA12" s="9"/>
      <c r="AB12" s="59"/>
      <c r="AC12" s="9"/>
    </row>
    <row r="13" spans="1:36" ht="44.25" customHeight="1" x14ac:dyDescent="0.2">
      <c r="A13" s="99"/>
      <c r="B13" s="100"/>
      <c r="C13" s="20" t="s">
        <v>27</v>
      </c>
      <c r="D13" s="27">
        <f>SUM(D5:D12)</f>
        <v>35798</v>
      </c>
      <c r="E13" s="27">
        <f>SUM(E5:E12)</f>
        <v>21996</v>
      </c>
      <c r="F13" s="20"/>
      <c r="G13" s="28">
        <f>SUM(G5:G12)</f>
        <v>2045.6</v>
      </c>
      <c r="H13" s="28">
        <f>SUM(H5:H12)</f>
        <v>511.4</v>
      </c>
      <c r="I13" s="20"/>
      <c r="J13" s="28">
        <f>SUM(J5:J12)</f>
        <v>2045.6</v>
      </c>
      <c r="K13" s="20"/>
      <c r="L13" s="28">
        <f>SUM(L5:L12)</f>
        <v>7926.7</v>
      </c>
      <c r="M13" s="28">
        <f>SUM(M5:M12)</f>
        <v>1789.9</v>
      </c>
      <c r="N13" s="28">
        <f>SUM(N5:N12)</f>
        <v>47815.9</v>
      </c>
      <c r="O13" s="28">
        <f>SUM(O5:O12)</f>
        <v>24297.3</v>
      </c>
      <c r="P13" s="39"/>
      <c r="Q13" s="28">
        <f t="shared" ref="Q13:X13" si="20">SUM(Q5:Q12)</f>
        <v>12785</v>
      </c>
      <c r="R13" s="28">
        <f t="shared" si="20"/>
        <v>12785</v>
      </c>
      <c r="S13" s="60">
        <f t="shared" si="20"/>
        <v>42</v>
      </c>
      <c r="T13" s="28">
        <f t="shared" si="20"/>
        <v>60600.900000000009</v>
      </c>
      <c r="U13" s="28">
        <f t="shared" si="20"/>
        <v>727210.8</v>
      </c>
      <c r="V13" s="28">
        <f t="shared" si="20"/>
        <v>6933.4611111111108</v>
      </c>
      <c r="W13" s="28">
        <f t="shared" si="20"/>
        <v>37082.300000000003</v>
      </c>
      <c r="X13" s="28">
        <f t="shared" si="20"/>
        <v>444987.6</v>
      </c>
    </row>
    <row r="14" spans="1:36" x14ac:dyDescent="0.2"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</row>
    <row r="15" spans="1:36" x14ac:dyDescent="0.2">
      <c r="F15"/>
      <c r="I15"/>
      <c r="K15"/>
      <c r="P15"/>
    </row>
    <row r="17" spans="12:18" x14ac:dyDescent="0.2">
      <c r="L17" s="3"/>
      <c r="M17" s="3"/>
      <c r="N17" s="3"/>
    </row>
    <row r="19" spans="12:18" x14ac:dyDescent="0.2">
      <c r="P19" s="12"/>
      <c r="Q19" s="11"/>
      <c r="R19" s="11"/>
    </row>
    <row r="20" spans="12:18" x14ac:dyDescent="0.2">
      <c r="P20" s="12"/>
      <c r="R20" s="11"/>
    </row>
    <row r="21" spans="12:18" x14ac:dyDescent="0.2">
      <c r="P21" s="12"/>
      <c r="R21" s="11"/>
    </row>
    <row r="22" spans="12:18" x14ac:dyDescent="0.2">
      <c r="P22" s="12"/>
      <c r="R22" s="11"/>
    </row>
    <row r="23" spans="12:18" x14ac:dyDescent="0.2">
      <c r="P23" s="12"/>
      <c r="R23" s="11"/>
    </row>
  </sheetData>
  <mergeCells count="23">
    <mergeCell ref="A13:B13"/>
    <mergeCell ref="A5:B5"/>
    <mergeCell ref="A6:B6"/>
    <mergeCell ref="A2:B4"/>
    <mergeCell ref="C2:E3"/>
    <mergeCell ref="A12:B12"/>
    <mergeCell ref="A11:B11"/>
    <mergeCell ref="A7:B7"/>
    <mergeCell ref="A10:B10"/>
    <mergeCell ref="A8:B8"/>
    <mergeCell ref="A9:B9"/>
    <mergeCell ref="A1:X1"/>
    <mergeCell ref="S2:S4"/>
    <mergeCell ref="T2:T4"/>
    <mergeCell ref="U2:U4"/>
    <mergeCell ref="W2:W4"/>
    <mergeCell ref="X2:X4"/>
    <mergeCell ref="P2:R3"/>
    <mergeCell ref="N2:O3"/>
    <mergeCell ref="F2:H3"/>
    <mergeCell ref="I2:J3"/>
    <mergeCell ref="K2:M3"/>
    <mergeCell ref="V2:V4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项目费用总分配表</vt:lpstr>
      <vt:lpstr>人员工资</vt:lpstr>
      <vt:lpstr>五险一金测算表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李成林</dc:creator>
  <cp:lastModifiedBy>李成林</cp:lastModifiedBy>
  <cp:lastPrinted>2024-01-04T00:10:53Z</cp:lastPrinted>
  <dcterms:created xsi:type="dcterms:W3CDTF">2022-11-07T00:52:00Z</dcterms:created>
  <dcterms:modified xsi:type="dcterms:W3CDTF">2024-03-27T11:40:12Z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E98A089871E64AE8BB99B1220BCA3399</vt:lpwstr>
  </property>
  <property fmtid="{D5CDD505-2E9C-101B-9397-08002B2CF9AE}" pid="3" name="KSOProductBuildVer">
    <vt:lpwstr>2052-11.1.0.12763</vt:lpwstr>
  </property>
</Properties>
</file>